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Retail/Lessentabellen Retail en Logistiek/2025 CONCEPT/"/>
    </mc:Choice>
  </mc:AlternateContent>
  <xr:revisionPtr revIDLastSave="2" documentId="8_{B79E5E26-F44C-4E1D-ACFA-7DE81C6E9705}" xr6:coauthVersionLast="47" xr6:coauthVersionMax="47" xr10:uidLastSave="{38A4ACFE-EE03-4630-81CE-DF55FE9EDFE9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<sst xmlns="http://schemas.openxmlformats.org/spreadsheetml/2006/main" count="605" uniqueCount="324">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</sst>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" zoomScaleNormal="100" workbookViewId="0">
      <selection activeCell="D29" sqref="D29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hidden="1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25774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3">
      <c r="B5" s="100" t="s">
        <v>1</v>
      </c>
      <c r="C5" s="100"/>
      <c r="D5" s="142" t="s">
        <v>166</v>
      </c>
      <c r="E5" s="144"/>
      <c r="F5" s="100"/>
      <c r="G5" s="77" t="s">
        <v>5</v>
      </c>
      <c r="H5" s="151" t="s">
        <v>307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279</v>
      </c>
      <c r="C6" s="100"/>
      <c r="D6" s="142" t="s">
        <v>188</v>
      </c>
      <c r="E6" s="143"/>
      <c r="F6" s="143"/>
      <c r="G6" s="143"/>
      <c r="H6" s="143"/>
      <c r="I6" s="143"/>
      <c r="J6" s="143"/>
      <c r="K6" s="144"/>
      <c r="M6" s="94" t="s">
        <v>7</v>
      </c>
      <c r="N6" s="94" t="str">
        <f>VLOOKUP($D$7,Parameters!$A$81:$E$82,2,FALSE)</f>
        <v>BBL</v>
      </c>
    </row>
    <row r="7" spans="2:14" ht="15" customHeight="1" x14ac:dyDescent="0.3">
      <c r="B7" s="100" t="s">
        <v>7</v>
      </c>
      <c r="C7" s="100"/>
      <c r="D7" s="142" t="s">
        <v>9</v>
      </c>
      <c r="E7" s="144"/>
      <c r="F7" s="100"/>
      <c r="G7" s="102" t="str">
        <f>"(Niveau "&amp;N9&amp;")"</f>
        <v>(Niveau 2)</v>
      </c>
      <c r="H7" s="102"/>
      <c r="I7" s="100"/>
      <c r="J7" s="100"/>
      <c r="K7" s="100"/>
      <c r="M7" s="94" t="s">
        <v>10</v>
      </c>
      <c r="N7" s="94">
        <f>VLOOKUP($D$7,Parameters!$A$81:$E$82,3,FALSE)</f>
        <v>3</v>
      </c>
    </row>
    <row r="8" spans="2:14" ht="15" customHeight="1" x14ac:dyDescent="0.3">
      <c r="B8" s="100" t="s">
        <v>60</v>
      </c>
      <c r="C8" s="100"/>
      <c r="D8" s="142" t="s">
        <v>290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3">
      <c r="B9" s="100" t="s">
        <v>280</v>
      </c>
      <c r="C9" s="100"/>
      <c r="D9" s="142" t="s">
        <v>130</v>
      </c>
      <c r="E9" s="144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VLOOKUP($D$6,Opleidingen!A2:B154,2,FALSE)</f>
        <v>2</v>
      </c>
    </row>
    <row r="10" spans="2:14" ht="15" customHeight="1" x14ac:dyDescent="0.3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282</v>
      </c>
      <c r="C11" s="100"/>
      <c r="D11" s="98">
        <v>46234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25774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5"/>
      <c r="C17" s="145"/>
      <c r="D17" s="145"/>
      <c r="E17" s="145"/>
      <c r="F17" s="146"/>
      <c r="G17" s="147" t="s">
        <v>25</v>
      </c>
      <c r="H17" s="148"/>
      <c r="I17" s="149" t="s">
        <v>26</v>
      </c>
      <c r="J17" s="150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3">
      <c r="A18" s="100"/>
      <c r="B18" s="152" t="s">
        <v>30</v>
      </c>
      <c r="C18" s="153"/>
      <c r="D18" s="153"/>
      <c r="E18" s="153"/>
      <c r="F18" s="153"/>
      <c r="G18" s="154">
        <f>N18</f>
        <v>850</v>
      </c>
      <c r="H18" s="155"/>
      <c r="I18" s="154">
        <f>(I19+I20+I21)</f>
        <v>857.2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850</v>
      </c>
      <c r="O18" s="110" t="e">
        <f>VLOOKUP(($D$4),Parameters!$A$4:$R$78,$N$7,FALSE)</f>
        <v>#N/A</v>
      </c>
      <c r="Q18" s="111"/>
      <c r="R18" s="111"/>
    </row>
    <row r="19" spans="1:18" x14ac:dyDescent="0.3">
      <c r="A19" s="100"/>
      <c r="B19" s="152" t="s">
        <v>31</v>
      </c>
      <c r="C19" s="153"/>
      <c r="D19" s="153"/>
      <c r="E19" s="153"/>
      <c r="F19" s="153"/>
      <c r="G19" s="154">
        <f>N19</f>
        <v>200</v>
      </c>
      <c r="H19" s="155"/>
      <c r="I19" s="154">
        <f>IF(G19="-","-",G19*(100%+Parameters!$B$91))</f>
        <v>206</v>
      </c>
      <c r="J19" s="155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200</v>
      </c>
      <c r="O19" s="110" t="e">
        <f>VLOOKUP($D$4,Parameters!$A$4:$R$78,$N$7+3,FALSE)</f>
        <v>#N/A</v>
      </c>
      <c r="Q19" s="111"/>
      <c r="R19" s="112"/>
    </row>
    <row r="20" spans="1:18" x14ac:dyDescent="0.3">
      <c r="A20" s="100"/>
      <c r="B20" s="152" t="s">
        <v>32</v>
      </c>
      <c r="C20" s="153"/>
      <c r="D20" s="153"/>
      <c r="E20" s="153"/>
      <c r="F20" s="153"/>
      <c r="G20" s="154">
        <f>N20</f>
        <v>610</v>
      </c>
      <c r="H20" s="155"/>
      <c r="I20" s="154">
        <f>IF(G20="-","-",G20*(100%))</f>
        <v>610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610</v>
      </c>
      <c r="O20" s="110" t="e">
        <f>VLOOKUP($D$4,Parameters!$A$4:$R$78,$N$7+6,FALSE)</f>
        <v>#N/A</v>
      </c>
      <c r="Q20" s="111"/>
      <c r="R20" s="111"/>
    </row>
    <row r="21" spans="1:18" x14ac:dyDescent="0.3">
      <c r="A21" s="100"/>
      <c r="B21" s="152" t="s">
        <v>33</v>
      </c>
      <c r="C21" s="153"/>
      <c r="D21" s="153"/>
      <c r="E21" s="153"/>
      <c r="F21" s="153"/>
      <c r="G21" s="154">
        <f>N21</f>
        <v>40</v>
      </c>
      <c r="H21" s="155"/>
      <c r="I21" s="154">
        <f>IF(G21="-","-",G21*(100%+Parameters!$B$91))</f>
        <v>41.2</v>
      </c>
      <c r="J21" s="155"/>
      <c r="K21" s="105" t="s">
        <v>34</v>
      </c>
      <c r="M21" s="94" t="s">
        <v>34</v>
      </c>
      <c r="N21" s="109">
        <f>IF(ISERROR(O21),(VLOOKUP($D$9,Parameters!$A$4:$R$78,$N$7+9,FALSE)),O21)</f>
        <v>40</v>
      </c>
      <c r="O21" s="110" t="e">
        <f>VLOOKUP($D$4,Parameters!$A$4:$R$78,$N$7+9,FALSE)</f>
        <v>#N/A</v>
      </c>
      <c r="Q21" s="111"/>
      <c r="R21" s="111"/>
    </row>
    <row r="22" spans="1:18" x14ac:dyDescent="0.3">
      <c r="A22" s="100"/>
      <c r="B22" s="152" t="s">
        <v>35</v>
      </c>
      <c r="C22" s="153"/>
      <c r="D22" s="153"/>
      <c r="E22" s="153"/>
      <c r="F22" s="153"/>
      <c r="G22" s="154">
        <f>N22</f>
        <v>0</v>
      </c>
      <c r="H22" s="155"/>
      <c r="I22" s="154">
        <f>IF(G22="-","-",G22*(100%+Parameters!$B$91))</f>
        <v>0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 t="e">
        <f>VLOOKUP($D$4,Parameters!$A$4:$R$78,$N$7+12,FALSE)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7" t="s">
        <v>36</v>
      </c>
      <c r="E24" s="158"/>
      <c r="F24" s="158"/>
      <c r="G24" s="158"/>
      <c r="H24" s="158"/>
      <c r="I24" s="15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6" t="s">
        <v>40</v>
      </c>
      <c r="F25" s="156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0" t="str">
        <f>"Leerjaar "&amp;$N$8</f>
        <v>Leerjaar 1</v>
      </c>
      <c r="C26" s="113" t="s">
        <v>46</v>
      </c>
      <c r="D26" s="123">
        <v>8</v>
      </c>
      <c r="E26" s="161">
        <f>(D26*Parameters!$B$92)/60</f>
        <v>6.666666666666667</v>
      </c>
      <c r="F26" s="162"/>
      <c r="G26" s="124">
        <f>IF($N$6="BOL",Parameters!C85,Parameters!B85)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0"/>
      <c r="C27" s="113" t="s">
        <v>48</v>
      </c>
      <c r="D27" s="126">
        <v>8</v>
      </c>
      <c r="E27" s="161">
        <f>(D27*Parameters!$B$92)/60</f>
        <v>6.666666666666667</v>
      </c>
      <c r="F27" s="162"/>
      <c r="G27" s="124">
        <f>IF($N$6="BOL",Parameters!C86,Parameters!B86)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0"/>
      <c r="C28" s="113" t="s">
        <v>50</v>
      </c>
      <c r="D28" s="126">
        <v>7</v>
      </c>
      <c r="E28" s="161">
        <f>(D28*Parameters!$B$92)/60</f>
        <v>5.833333333333333</v>
      </c>
      <c r="F28" s="162"/>
      <c r="G28" s="124">
        <f>IF($N$6="BOL",Parameters!C87,Parameters!B87)</f>
        <v>9</v>
      </c>
      <c r="H28" s="125">
        <f>E28*G28</f>
        <v>52.5</v>
      </c>
      <c r="I28" s="126"/>
      <c r="J28" s="126">
        <v>200</v>
      </c>
      <c r="K28" s="125">
        <f>J28+I28+H28</f>
        <v>252.5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0"/>
      <c r="C29" s="113" t="s">
        <v>52</v>
      </c>
      <c r="D29" s="126">
        <v>8</v>
      </c>
      <c r="E29" s="161">
        <f>(D29*Parameters!$B$92)/60</f>
        <v>6.666666666666667</v>
      </c>
      <c r="F29" s="162"/>
      <c r="G29" s="124">
        <f>IF($N$6="BOL",Parameters!C88,Parameters!B88)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IF(K30&gt;Parameters!$D$91,"Teveel uren?","")</f>
        <v/>
      </c>
      <c r="E30" s="128"/>
      <c r="F30" s="100"/>
      <c r="G30" s="129" t="str">
        <f>"Totaal: "</f>
        <v xml:space="preserve">Totaal: </v>
      </c>
      <c r="H30" s="130">
        <f>SUM(H26:H29)</f>
        <v>225.83333333333334</v>
      </c>
      <c r="I30" s="130">
        <f>SUM(I26:I29)</f>
        <v>0</v>
      </c>
      <c r="J30" s="131">
        <f>SUM(J26:J29)</f>
        <v>800</v>
      </c>
      <c r="K30" s="131">
        <f>SUM(K26:K29)</f>
        <v>1025.8333333333333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0" t="str">
        <f>IF($N$11&gt;=2,"Leerjaar "&amp;$N$8+1,"")</f>
        <v/>
      </c>
      <c r="C32" s="113" t="s">
        <v>46</v>
      </c>
      <c r="D32" s="126"/>
      <c r="E32" s="161">
        <f>(D32*Parameters!$B$92)/60</f>
        <v>0</v>
      </c>
      <c r="F32" s="162"/>
      <c r="G32" s="124" t="str">
        <f>IF($N$11&gt;=2,IF($N$6="BOL",Parameters!C85,Parameters!B85),"-")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60"/>
      <c r="C33" s="113" t="s">
        <v>48</v>
      </c>
      <c r="D33" s="126"/>
      <c r="E33" s="161">
        <f>(D33*Parameters!$B$92)/60</f>
        <v>0</v>
      </c>
      <c r="F33" s="162"/>
      <c r="G33" s="124" t="str">
        <f>IF($N$11&gt;=2,IF($N$6="BOL",Parameters!C86,Parameters!B86),"-")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 x14ac:dyDescent="0.3">
      <c r="B34" s="160"/>
      <c r="C34" s="113" t="s">
        <v>50</v>
      </c>
      <c r="D34" s="126"/>
      <c r="E34" s="161">
        <f>(D34*Parameters!$B$92)/60</f>
        <v>0</v>
      </c>
      <c r="F34" s="162"/>
      <c r="G34" s="124" t="str">
        <f>IF($N$11&gt;=2,IF($N$6="BOL",Parameters!C87,Parameters!B87),"-")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0"/>
      <c r="C35" s="113" t="s">
        <v>52</v>
      </c>
      <c r="D35" s="126"/>
      <c r="E35" s="161">
        <f>(D35*Parameters!$B$92)/60</f>
        <v>0</v>
      </c>
      <c r="F35" s="162"/>
      <c r="G35" s="124" t="str">
        <f>IF($N$11&gt;=2,IF($N$6="BOL",Parameters!C88,Parameters!B88),"-")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IF($N$6="BOL",N32*1000/10,IF($N$6="BBL",N32*850/10,0))*(100%+Parameters!$B$91)</f>
        <v>0</v>
      </c>
      <c r="O35" s="110">
        <f>N35/(100%+Parameters!$B$91)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IF(K36&gt;Parameters!$D$91,"Teveel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0" t="str">
        <f>IF($N$11&gt;=3,"Leerjaar "&amp;$N$8+2,"")</f>
        <v/>
      </c>
      <c r="C38" s="113" t="s">
        <v>46</v>
      </c>
      <c r="D38" s="126">
        <v>0</v>
      </c>
      <c r="E38" s="161">
        <f>(D38*Parameters!$B$92)/60</f>
        <v>0</v>
      </c>
      <c r="F38" s="162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0"/>
      <c r="C39" s="113" t="s">
        <v>48</v>
      </c>
      <c r="D39" s="126">
        <v>0</v>
      </c>
      <c r="E39" s="161">
        <f>(D39*Parameters!$B$92)/60</f>
        <v>0</v>
      </c>
      <c r="F39" s="162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3">
      <c r="B40" s="160"/>
      <c r="C40" s="113" t="s">
        <v>50</v>
      </c>
      <c r="D40" s="126">
        <v>0</v>
      </c>
      <c r="E40" s="161">
        <f>(D40*Parameters!$B$92)/60</f>
        <v>0</v>
      </c>
      <c r="F40" s="162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0"/>
      <c r="C41" s="113" t="s">
        <v>52</v>
      </c>
      <c r="D41" s="126">
        <v>0</v>
      </c>
      <c r="E41" s="161">
        <f>(D41*Parameters!$B$92)/60</f>
        <v>0</v>
      </c>
      <c r="F41" s="162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0" t="str">
        <f>IF($N$11&gt;=4,"Leerjaar "&amp;$N$8+3,"")</f>
        <v/>
      </c>
      <c r="C44" s="113" t="s">
        <v>46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0"/>
      <c r="C45" s="113" t="s">
        <v>48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3">
      <c r="B46" s="160"/>
      <c r="C46" s="113" t="s">
        <v>50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0"/>
      <c r="C47" s="113" t="s">
        <v>52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225.83333333333334</v>
      </c>
      <c r="J51" s="105">
        <f>J48+J42+J36+J30</f>
        <v>800</v>
      </c>
      <c r="K51" s="134">
        <f>K48+K42+K36+K30</f>
        <v>1025.8333333333333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14" sqref="E14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8" t="str">
        <f>RIGHT(Programmering!$D$6,LEN(Programmering!$D$6)-8)</f>
        <v>Logistiek medewerker</v>
      </c>
      <c r="D2" s="168"/>
      <c r="E2" s="168"/>
      <c r="F2" s="169"/>
    </row>
    <row r="3" spans="2:6" ht="17.100000000000001" customHeight="1" x14ac:dyDescent="0.3">
      <c r="B3" s="47" t="s">
        <v>59</v>
      </c>
      <c r="C3" t="str">
        <f>LEFT(Programmering!$D$6,5)</f>
        <v>25774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3">
      <c r="B4" s="47" t="s">
        <v>16</v>
      </c>
      <c r="C4" s="2">
        <f>Programmering!$N$9</f>
        <v>2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46234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3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4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4"/>
      <c r="C10" s="28">
        <v>3</v>
      </c>
      <c r="D10" s="29">
        <f>Programmering!H28+Programmering!I28</f>
        <v>52.5</v>
      </c>
      <c r="E10" s="28">
        <f>Programmering!J28</f>
        <v>200</v>
      </c>
      <c r="F10" s="28">
        <f>Programmering!K28</f>
        <v>252.5</v>
      </c>
    </row>
    <row r="11" spans="2:6" ht="17.100000000000001" customHeight="1" x14ac:dyDescent="0.3">
      <c r="B11" s="165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6" t="s">
        <v>65</v>
      </c>
      <c r="C12" s="167"/>
      <c r="D12" s="32">
        <f>Programmering!H30+Programmering!I30</f>
        <v>225.83333333333334</v>
      </c>
      <c r="E12" s="33">
        <f>Programmering!J30</f>
        <v>800</v>
      </c>
      <c r="F12" s="33">
        <f>Programmering!K30</f>
        <v>1025.8333333333333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3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4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4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5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6" t="str">
        <f>IF(Programmering!G36="","","Totaal ")</f>
        <v/>
      </c>
      <c r="C18" s="167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4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4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4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5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6" t="str">
        <f>IF(Programmering!G42="","","Totaal ")</f>
        <v/>
      </c>
      <c r="C24" s="167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0" t="s">
        <v>66</v>
      </c>
      <c r="C32" s="171"/>
      <c r="D32" s="51">
        <f>Programmering!I51</f>
        <v>225.83333333333334</v>
      </c>
      <c r="E32" s="52">
        <f>Programmering!J51</f>
        <v>800</v>
      </c>
      <c r="F32" s="52">
        <f>Programmering!K51</f>
        <v>1025.8333333333333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2" t="s">
        <v>72</v>
      </c>
      <c r="D13" s="172"/>
      <c r="E13" s="172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3" t="s">
        <v>73</v>
      </c>
      <c r="B1" s="173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25774</v>
      </c>
      <c r="C3" t="str">
        <f>RIGHT(Programmering!D6,LEN(Programmering!D6)-8)</f>
        <v>Logistiek medewerker</v>
      </c>
      <c r="D3">
        <f>Programmering!N9</f>
        <v>2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52.5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225.83333333333334</v>
      </c>
      <c r="W3" s="22">
        <f>Programmering!J30</f>
        <v>800</v>
      </c>
      <c r="X3" s="22">
        <f>Programmering!K30</f>
        <v>1025.8333333333333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3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3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3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3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3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3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3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3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3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3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3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3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3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3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3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3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3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3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3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3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3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3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3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3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3">
      <c r="A86" s="2" t="s">
        <v>152</v>
      </c>
      <c r="B86" s="1">
        <v>9</v>
      </c>
      <c r="C86" s="1">
        <v>9.5</v>
      </c>
    </row>
    <row r="87" spans="1:19" ht="15" customHeight="1" x14ac:dyDescent="0.3">
      <c r="A87" s="2" t="s">
        <v>153</v>
      </c>
      <c r="B87" s="1">
        <v>9</v>
      </c>
      <c r="C87" s="1">
        <v>9.5</v>
      </c>
    </row>
    <row r="88" spans="1:19" ht="15" customHeight="1" x14ac:dyDescent="0.3">
      <c r="A88" s="2" t="s">
        <v>154</v>
      </c>
      <c r="B88" s="1">
        <v>8</v>
      </c>
      <c r="C88" s="1">
        <v>8.5</v>
      </c>
    </row>
    <row r="89" spans="1:19" ht="15" customHeight="1" x14ac:dyDescent="0.3">
      <c r="A89" s="2"/>
    </row>
    <row r="90" spans="1:19" s="5" customFormat="1" ht="15" customHeight="1" x14ac:dyDescent="0.3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3">
      <c r="A92" t="s">
        <v>160</v>
      </c>
      <c r="B92" s="1">
        <v>50</v>
      </c>
    </row>
    <row r="93" spans="1:19" ht="15" customHeight="1" x14ac:dyDescent="0.3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3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3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3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3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3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3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3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3">
      <c r="B102"/>
      <c r="C102"/>
      <c r="D102"/>
      <c r="E102"/>
      <c r="F102"/>
      <c r="G102"/>
      <c r="H102"/>
    </row>
    <row r="103" spans="1:19" s="5" customFormat="1" ht="15" customHeight="1" x14ac:dyDescent="0.3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290</v>
      </c>
      <c r="B104" s="1">
        <v>1</v>
      </c>
    </row>
    <row r="105" spans="1:19" ht="15" customHeight="1" x14ac:dyDescent="0.3">
      <c r="A105" t="s">
        <v>235</v>
      </c>
      <c r="B105" s="1">
        <v>2</v>
      </c>
    </row>
    <row r="106" spans="1:19" ht="15" customHeight="1" x14ac:dyDescent="0.3">
      <c r="A106" t="s">
        <v>12</v>
      </c>
      <c r="B106" s="1">
        <v>3</v>
      </c>
    </row>
    <row r="107" spans="1:19" ht="15" customHeight="1" x14ac:dyDescent="0.3">
      <c r="A107" t="s">
        <v>171</v>
      </c>
      <c r="B107" s="1">
        <v>4</v>
      </c>
    </row>
    <row r="109" spans="1:19" s="5" customFormat="1" ht="15" customHeight="1" x14ac:dyDescent="0.3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3">
      <c r="A110" t="s">
        <v>173</v>
      </c>
    </row>
    <row r="111" spans="1:19" ht="15" customHeight="1" x14ac:dyDescent="0.3">
      <c r="A111" t="s">
        <v>4</v>
      </c>
    </row>
    <row r="112" spans="1:19" ht="15" customHeight="1" x14ac:dyDescent="0.3">
      <c r="A112" t="s">
        <v>307</v>
      </c>
    </row>
    <row r="113" spans="1:1" ht="15" customHeight="1" x14ac:dyDescent="0.3">
      <c r="A113" t="s">
        <v>174</v>
      </c>
    </row>
    <row r="114" spans="1:1" ht="15" customHeight="1" x14ac:dyDescent="0.3">
      <c r="A114" t="s">
        <v>175</v>
      </c>
    </row>
    <row r="115" spans="1:1" ht="15" customHeight="1" x14ac:dyDescent="0.3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09375" defaultRowHeight="17.100000000000001" customHeight="1" x14ac:dyDescent="0.3"/>
  <cols>
    <col min="1" max="1" width="81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177</v>
      </c>
      <c r="B1" s="69" t="s">
        <v>101</v>
      </c>
      <c r="C1" s="12" t="s">
        <v>2</v>
      </c>
    </row>
    <row r="2" spans="1:3" ht="17.100000000000001" customHeight="1" x14ac:dyDescent="0.3">
      <c r="A2" s="138" t="s">
        <v>291</v>
      </c>
      <c r="B2" s="1">
        <v>1</v>
      </c>
      <c r="C2" t="s">
        <v>165</v>
      </c>
    </row>
    <row r="3" spans="1:3" ht="17.100000000000001" customHeight="1" x14ac:dyDescent="0.3">
      <c r="A3" s="138" t="s">
        <v>178</v>
      </c>
      <c r="B3" s="1">
        <v>2</v>
      </c>
      <c r="C3" t="s">
        <v>165</v>
      </c>
    </row>
    <row r="4" spans="1:3" ht="17.100000000000001" customHeight="1" x14ac:dyDescent="0.3">
      <c r="A4" s="138" t="s">
        <v>179</v>
      </c>
      <c r="B4" s="99">
        <v>3</v>
      </c>
      <c r="C4" t="s">
        <v>165</v>
      </c>
    </row>
    <row r="5" spans="1:3" ht="17.100000000000001" customHeight="1" x14ac:dyDescent="0.3">
      <c r="A5" s="138" t="s">
        <v>236</v>
      </c>
      <c r="B5" s="1">
        <v>1</v>
      </c>
      <c r="C5" t="s">
        <v>165</v>
      </c>
    </row>
    <row r="6" spans="1:3" ht="17.100000000000001" customHeight="1" x14ac:dyDescent="0.3">
      <c r="A6" s="138" t="s">
        <v>237</v>
      </c>
      <c r="B6" s="1">
        <v>1</v>
      </c>
      <c r="C6" t="s">
        <v>165</v>
      </c>
    </row>
    <row r="7" spans="1:3" ht="17.100000000000001" customHeight="1" x14ac:dyDescent="0.3">
      <c r="A7" s="138" t="s">
        <v>238</v>
      </c>
      <c r="B7" s="1">
        <v>1</v>
      </c>
      <c r="C7" t="s">
        <v>165</v>
      </c>
    </row>
    <row r="8" spans="1:3" ht="17.100000000000001" customHeight="1" x14ac:dyDescent="0.3">
      <c r="A8" s="138" t="s">
        <v>239</v>
      </c>
      <c r="B8" s="1">
        <v>1</v>
      </c>
      <c r="C8" t="s">
        <v>165</v>
      </c>
    </row>
    <row r="9" spans="1:3" ht="17.100000000000001" customHeight="1" x14ac:dyDescent="0.3">
      <c r="A9" s="138" t="s">
        <v>240</v>
      </c>
      <c r="B9" s="1">
        <v>1</v>
      </c>
      <c r="C9" t="s">
        <v>165</v>
      </c>
    </row>
    <row r="10" spans="1:3" ht="17.100000000000001" customHeight="1" x14ac:dyDescent="0.3">
      <c r="A10" s="138" t="s">
        <v>292</v>
      </c>
      <c r="B10" s="1">
        <v>1</v>
      </c>
      <c r="C10" t="s">
        <v>165</v>
      </c>
    </row>
    <row r="11" spans="1:3" ht="17.100000000000001" customHeight="1" x14ac:dyDescent="0.3">
      <c r="A11" s="138" t="s">
        <v>241</v>
      </c>
      <c r="B11" s="1">
        <v>1</v>
      </c>
      <c r="C11" t="s">
        <v>165</v>
      </c>
    </row>
    <row r="12" spans="1:3" ht="17.100000000000001" customHeight="1" x14ac:dyDescent="0.3">
      <c r="A12" s="138" t="s">
        <v>242</v>
      </c>
      <c r="B12" s="1">
        <v>1</v>
      </c>
      <c r="C12" t="s">
        <v>165</v>
      </c>
    </row>
    <row r="13" spans="1:3" ht="17.100000000000001" customHeight="1" x14ac:dyDescent="0.3">
      <c r="A13" s="138" t="s">
        <v>243</v>
      </c>
      <c r="B13" s="1">
        <v>1</v>
      </c>
      <c r="C13" t="s">
        <v>165</v>
      </c>
    </row>
    <row r="14" spans="1:3" ht="17.100000000000001" customHeight="1" x14ac:dyDescent="0.3">
      <c r="A14" s="138" t="s">
        <v>245</v>
      </c>
      <c r="B14" s="1">
        <v>2</v>
      </c>
      <c r="C14" t="s">
        <v>165</v>
      </c>
    </row>
    <row r="15" spans="1:3" ht="17.100000000000001" customHeight="1" x14ac:dyDescent="0.3">
      <c r="A15" s="138" t="s">
        <v>244</v>
      </c>
      <c r="B15" s="1">
        <v>2</v>
      </c>
      <c r="C15" t="s">
        <v>165</v>
      </c>
    </row>
    <row r="17" spans="1:4" ht="17.100000000000001" customHeight="1" x14ac:dyDescent="0.3">
      <c r="A17" s="12" t="s">
        <v>180</v>
      </c>
      <c r="D17"/>
    </row>
    <row r="18" spans="1:4" ht="17.100000000000001" customHeight="1" x14ac:dyDescent="0.3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3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3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3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3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3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3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3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3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3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3">
      <c r="D39"/>
    </row>
    <row r="40" spans="1:4" ht="17.100000000000001" customHeight="1" x14ac:dyDescent="0.3">
      <c r="A40" s="12" t="s">
        <v>194</v>
      </c>
      <c r="B40" s="69"/>
      <c r="D40"/>
    </row>
    <row r="41" spans="1:4" ht="17.100000000000001" customHeight="1" x14ac:dyDescent="0.3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3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3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3">
      <c r="A44" t="s">
        <v>6</v>
      </c>
      <c r="B44" s="1">
        <v>3</v>
      </c>
      <c r="C44" t="s">
        <v>285</v>
      </c>
      <c r="D44"/>
    </row>
    <row r="45" spans="1:4" ht="17.100000000000001" customHeight="1" x14ac:dyDescent="0.3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3">
      <c r="D46"/>
    </row>
    <row r="47" spans="1:4" ht="17.100000000000001" customHeight="1" x14ac:dyDescent="0.3">
      <c r="A47" s="12" t="s">
        <v>198</v>
      </c>
      <c r="D47"/>
    </row>
    <row r="48" spans="1:4" ht="17.100000000000001" customHeight="1" x14ac:dyDescent="0.3">
      <c r="A48" s="12" t="s">
        <v>173</v>
      </c>
      <c r="D48"/>
    </row>
    <row r="49" spans="1:4" ht="17.100000000000001" customHeight="1" x14ac:dyDescent="0.3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3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3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3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3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3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3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3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3">
      <c r="D57"/>
    </row>
    <row r="58" spans="1:4" ht="17.100000000000001" customHeight="1" x14ac:dyDescent="0.3">
      <c r="A58" s="12" t="s">
        <v>4</v>
      </c>
    </row>
    <row r="59" spans="1:4" ht="17.100000000000001" customHeight="1" x14ac:dyDescent="0.3">
      <c r="A59" t="s">
        <v>201</v>
      </c>
      <c r="B59" s="1">
        <v>3</v>
      </c>
      <c r="C59" t="s">
        <v>167</v>
      </c>
    </row>
    <row r="60" spans="1:4" ht="17.100000000000001" customHeight="1" x14ac:dyDescent="0.3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3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3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3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3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3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3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3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3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3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3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3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3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3">
      <c r="D77"/>
    </row>
    <row r="78" spans="1:4" ht="17.100000000000001" customHeight="1" x14ac:dyDescent="0.3">
      <c r="A78" s="12" t="s">
        <v>307</v>
      </c>
      <c r="D78"/>
    </row>
    <row r="79" spans="1:4" ht="17.100000000000001" customHeight="1" x14ac:dyDescent="0.3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3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3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3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3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3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3">
      <c r="A90" s="12"/>
      <c r="D90"/>
    </row>
    <row r="91" spans="1:4" ht="17.100000000000001" customHeight="1" x14ac:dyDescent="0.3">
      <c r="A91" s="12" t="s">
        <v>210</v>
      </c>
    </row>
    <row r="92" spans="1:4" ht="17.100000000000001" customHeight="1" x14ac:dyDescent="0.3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3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3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3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3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3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3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3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3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3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3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3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3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3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3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3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3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3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3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3">
      <c r="D111"/>
    </row>
    <row r="112" spans="1:4" ht="17.100000000000001" customHeight="1" x14ac:dyDescent="0.3">
      <c r="A112" s="12" t="s">
        <v>214</v>
      </c>
      <c r="D112"/>
    </row>
    <row r="113" spans="1:4" ht="17.100000000000001" customHeight="1" x14ac:dyDescent="0.3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3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3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3">
      <c r="A116" t="s">
        <v>266</v>
      </c>
      <c r="B116" s="1">
        <v>4</v>
      </c>
      <c r="C116" t="s">
        <v>167</v>
      </c>
    </row>
    <row r="117" spans="1:4" ht="17.100000000000001" customHeight="1" x14ac:dyDescent="0.3">
      <c r="A117" t="s">
        <v>314</v>
      </c>
      <c r="B117" s="1">
        <v>2</v>
      </c>
      <c r="C117" t="s">
        <v>167</v>
      </c>
    </row>
    <row r="118" spans="1:4" ht="17.100000000000001" customHeight="1" x14ac:dyDescent="0.3">
      <c r="A118" t="s">
        <v>317</v>
      </c>
      <c r="B118" s="1">
        <v>3</v>
      </c>
      <c r="C118" t="s">
        <v>167</v>
      </c>
    </row>
    <row r="119" spans="1:4" ht="17.100000000000001" customHeight="1" x14ac:dyDescent="0.3">
      <c r="A119" t="s">
        <v>316</v>
      </c>
      <c r="B119" s="1">
        <v>4</v>
      </c>
      <c r="C119" t="s">
        <v>167</v>
      </c>
    </row>
    <row r="120" spans="1:4" ht="17.100000000000001" customHeight="1" x14ac:dyDescent="0.3">
      <c r="D120"/>
    </row>
    <row r="121" spans="1:4" ht="17.100000000000001" customHeight="1" x14ac:dyDescent="0.3">
      <c r="A121" s="12" t="s">
        <v>176</v>
      </c>
    </row>
    <row r="122" spans="1:4" ht="17.100000000000001" customHeight="1" x14ac:dyDescent="0.3">
      <c r="A122" t="s">
        <v>272</v>
      </c>
      <c r="B122" s="1">
        <v>4</v>
      </c>
      <c r="C122" t="s">
        <v>167</v>
      </c>
    </row>
    <row r="123" spans="1:4" ht="17.100000000000001" customHeight="1" x14ac:dyDescent="0.3">
      <c r="A123" t="s">
        <v>217</v>
      </c>
      <c r="B123" s="1">
        <v>3</v>
      </c>
      <c r="C123" t="s">
        <v>167</v>
      </c>
    </row>
    <row r="124" spans="1:4" ht="17.100000000000001" customHeight="1" x14ac:dyDescent="0.3">
      <c r="A124" t="s">
        <v>218</v>
      </c>
      <c r="B124" s="1">
        <v>2</v>
      </c>
      <c r="C124" t="s">
        <v>167</v>
      </c>
    </row>
    <row r="125" spans="1:4" ht="17.100000000000001" customHeight="1" x14ac:dyDescent="0.3">
      <c r="A125" t="s">
        <v>273</v>
      </c>
      <c r="B125" s="1">
        <v>2</v>
      </c>
      <c r="C125" t="s">
        <v>167</v>
      </c>
    </row>
    <row r="126" spans="1:4" ht="17.100000000000001" customHeight="1" x14ac:dyDescent="0.3">
      <c r="A126" t="s">
        <v>219</v>
      </c>
      <c r="B126" s="1">
        <v>3</v>
      </c>
      <c r="C126" t="s">
        <v>167</v>
      </c>
    </row>
    <row r="127" spans="1:4" ht="17.100000000000001" customHeight="1" x14ac:dyDescent="0.3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3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3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3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3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3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3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3">
      <c r="D137"/>
    </row>
    <row r="138" spans="1:4" ht="17.100000000000001" customHeight="1" x14ac:dyDescent="0.3">
      <c r="A138" s="27" t="s">
        <v>223</v>
      </c>
      <c r="D138"/>
    </row>
    <row r="139" spans="1:4" ht="17.100000000000001" customHeight="1" x14ac:dyDescent="0.3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3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3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3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3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3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3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3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3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3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3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3">
      <c r="D150"/>
    </row>
    <row r="151" spans="1:4" ht="17.100000000000001" customHeight="1" x14ac:dyDescent="0.3">
      <c r="A151" s="2"/>
    </row>
    <row r="152" spans="1:4" ht="17.100000000000001" customHeight="1" x14ac:dyDescent="0.3">
      <c r="A152" s="2"/>
    </row>
    <row r="153" spans="1:4" ht="17.100000000000001" customHeight="1" x14ac:dyDescent="0.3">
      <c r="A153" s="2"/>
      <c r="D153"/>
    </row>
    <row r="154" spans="1:4" ht="17.100000000000001" customHeight="1" x14ac:dyDescent="0.3">
      <c r="A154" s="2"/>
      <c r="D154"/>
    </row>
    <row r="155" spans="1:4" ht="17.100000000000001" customHeight="1" x14ac:dyDescent="0.3">
      <c r="A155" s="2"/>
      <c r="D155"/>
    </row>
    <row r="156" spans="1:4" ht="17.100000000000001" customHeight="1" x14ac:dyDescent="0.3">
      <c r="A156" s="2"/>
      <c r="D156"/>
    </row>
    <row r="157" spans="1:4" ht="17.100000000000001" customHeight="1" x14ac:dyDescent="0.3">
      <c r="A157" s="2"/>
      <c r="D157"/>
    </row>
    <row r="158" spans="1:4" ht="17.100000000000001" customHeight="1" x14ac:dyDescent="0.3">
      <c r="D158"/>
    </row>
    <row r="159" spans="1:4" ht="17.100000000000001" customHeight="1" x14ac:dyDescent="0.3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663C7-AFA5-4C9B-8AD7-E4820193BFE5}"/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M.T.L. (Magda) Blokzijl - Boender (BzM)</cp:lastModifiedBy>
  <cp:revision/>
  <cp:lastPrinted>2023-11-28T13:37:04Z</cp:lastPrinted>
  <dcterms:created xsi:type="dcterms:W3CDTF">2014-05-19T17:20:27Z</dcterms:created>
  <dcterms:modified xsi:type="dcterms:W3CDTF">2025-03-07T14:35:25Z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